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denmainegov-my.sharepoint.com/personal/acaler_camdenmaine_gov/Documents/Planning &amp; Development/Tannery/"/>
    </mc:Choice>
  </mc:AlternateContent>
  <xr:revisionPtr revIDLastSave="0" documentId="8_{75B7561C-2347-4AE1-86C8-9819848F937C}" xr6:coauthVersionLast="45" xr6:coauthVersionMax="45" xr10:uidLastSave="{00000000-0000-0000-0000-000000000000}"/>
  <bookViews>
    <workbookView xWindow="340" yWindow="970" windowWidth="20090" windowHeight="12770" xr2:uid="{665AE38E-068C-4CA2-AEDB-270632A02965}"/>
  </bookViews>
  <sheets>
    <sheet name="Millville apartments" sheetId="2" r:id="rId1"/>
    <sheet name="Cranesport" sheetId="3" r:id="rId2"/>
    <sheet name="Habitat For Humantity" sheetId="4" r:id="rId3"/>
    <sheet name="Sheet1" sheetId="1" r:id="rId4"/>
  </sheets>
  <definedNames>
    <definedName name="_xlnm.Print_Area" localSheetId="1">Cranesport!$A$1:$M$20</definedName>
    <definedName name="_xlnm.Print_Area" localSheetId="2">'Habitat For Humantity'!$A$1:$F$14</definedName>
    <definedName name="_xlnm.Print_Area" localSheetId="0">'Millville apartments'!$A$1:$M$35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D6" i="4"/>
  <c r="D7" i="4" s="1"/>
  <c r="C2" i="3"/>
  <c r="E2" i="3" s="1"/>
  <c r="D2" i="3"/>
  <c r="K2" i="3" s="1"/>
  <c r="C3" i="3"/>
  <c r="D3" i="3"/>
  <c r="K3" i="3" s="1"/>
  <c r="L3" i="3" s="1"/>
  <c r="E3" i="3"/>
  <c r="G3" i="3" s="1"/>
  <c r="H3" i="3" s="1"/>
  <c r="K4" i="3"/>
  <c r="L4" i="3" s="1"/>
  <c r="L5" i="3"/>
  <c r="K16" i="3"/>
  <c r="K17" i="3"/>
  <c r="K18" i="3"/>
  <c r="E2" i="2"/>
  <c r="G2" i="2" s="1"/>
  <c r="G5" i="2" s="1"/>
  <c r="F2" i="2"/>
  <c r="H2" i="2" s="1"/>
  <c r="E3" i="2"/>
  <c r="F3" i="2"/>
  <c r="G3" i="2"/>
  <c r="H3" i="2"/>
  <c r="E4" i="2"/>
  <c r="F4" i="2"/>
  <c r="H4" i="2" s="1"/>
  <c r="G4" i="2"/>
  <c r="B5" i="2"/>
  <c r="E5" i="2"/>
  <c r="F5" i="2"/>
  <c r="K5" i="2"/>
  <c r="K6" i="2"/>
  <c r="K8" i="2" s="1"/>
  <c r="C16" i="2"/>
  <c r="E16" i="2"/>
  <c r="C17" i="2"/>
  <c r="E17" i="2"/>
  <c r="E18" i="2"/>
  <c r="C18" i="2" s="1"/>
  <c r="E19" i="2"/>
  <c r="C19" i="2" s="1"/>
  <c r="J19" i="2"/>
  <c r="K19" i="2" s="1"/>
  <c r="C20" i="2"/>
  <c r="E20" i="2"/>
  <c r="J20" i="2"/>
  <c r="K20" i="2"/>
  <c r="E21" i="2"/>
  <c r="C21" i="2" s="1"/>
  <c r="J21" i="2"/>
  <c r="K21" i="2" s="1"/>
  <c r="C22" i="2"/>
  <c r="E22" i="2"/>
  <c r="H22" i="2"/>
  <c r="E23" i="2"/>
  <c r="C23" i="2" s="1"/>
  <c r="E24" i="2"/>
  <c r="C24" i="2" s="1"/>
  <c r="E25" i="2"/>
  <c r="C25" i="2" s="1"/>
  <c r="E26" i="2"/>
  <c r="C26" i="2" s="1"/>
  <c r="E27" i="2"/>
  <c r="C27" i="2" s="1"/>
  <c r="E28" i="2"/>
  <c r="C28" i="2" s="1"/>
  <c r="H28" i="2"/>
  <c r="C29" i="2"/>
  <c r="E29" i="2"/>
  <c r="E30" i="2"/>
  <c r="C30" i="2" s="1"/>
  <c r="E31" i="2"/>
  <c r="C31" i="2" s="1"/>
  <c r="C32" i="2"/>
  <c r="E32" i="2"/>
  <c r="C33" i="2"/>
  <c r="E33" i="2"/>
  <c r="E34" i="2"/>
  <c r="C34" i="2" s="1"/>
  <c r="A11" i="4" l="1"/>
  <c r="A12" i="4" s="1"/>
  <c r="L2" i="3"/>
  <c r="L6" i="3" s="1"/>
  <c r="K6" i="3"/>
  <c r="G2" i="3"/>
  <c r="E4" i="3"/>
  <c r="I15" i="3" s="1"/>
  <c r="K15" i="3" s="1"/>
  <c r="K20" i="3" s="1"/>
  <c r="K9" i="2"/>
  <c r="K10" i="2"/>
  <c r="C35" i="2"/>
  <c r="H8" i="2" s="1"/>
  <c r="H5" i="2"/>
  <c r="G6" i="2"/>
  <c r="G7" i="2"/>
  <c r="H2" i="3" l="1"/>
  <c r="H4" i="3" s="1"/>
  <c r="H6" i="3" s="1"/>
  <c r="G4" i="3"/>
  <c r="G6" i="3" s="1"/>
  <c r="H6" i="2"/>
  <c r="H7" i="2"/>
  <c r="H9" i="2" s="1"/>
  <c r="H11" i="2" s="1"/>
  <c r="H7" i="3" l="1"/>
  <c r="H9" i="3" s="1"/>
  <c r="B11" i="2"/>
  <c r="B12" i="2"/>
  <c r="H11" i="3" l="1"/>
  <c r="H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Kerry Leichtman</author>
  </authors>
  <commentList>
    <comment ref="I17" authorId="0" shapeId="0" xr:uid="{CC9FDD90-B780-4C17-A574-D03BE3CDF51A}">
      <text>
        <r>
          <rPr>
            <b/>
            <sz val="9"/>
            <color indexed="81"/>
            <rFont val="Tahoma"/>
            <family val="2"/>
          </rPr>
          <t>Kerry Leichtman:</t>
        </r>
        <r>
          <rPr>
            <sz val="9"/>
            <color indexed="81"/>
            <rFont val="Tahoma"/>
            <family val="2"/>
          </rPr>
          <t xml:space="preserve">
unforseen remediation, construction, sitework costs</t>
        </r>
      </text>
    </comment>
    <comment ref="I18" authorId="0" shapeId="0" xr:uid="{52023C78-1FF7-4F4F-8299-E6F798D27E25}">
      <text>
        <r>
          <rPr>
            <b/>
            <sz val="9"/>
            <color indexed="81"/>
            <rFont val="Tahoma"/>
            <family val="2"/>
          </rPr>
          <t>Kerry Leichtman:</t>
        </r>
        <r>
          <rPr>
            <sz val="9"/>
            <color indexed="81"/>
            <rFont val="Tahoma"/>
            <family val="2"/>
          </rPr>
          <t xml:space="preserve">
…and consultant costs including architectual, engineering, surveyor, lamdscape architect/urban planning, market study, geotechnical engineering, legal, development fees, accounting, etc.
</t>
        </r>
      </text>
    </comment>
    <comment ref="I19" authorId="0" shapeId="0" xr:uid="{1E0DADA2-DD07-4490-ADCB-ABE4DA450AAA}">
      <text>
        <r>
          <rPr>
            <b/>
            <sz val="9"/>
            <color indexed="81"/>
            <rFont val="Tahoma"/>
            <family val="2"/>
          </rPr>
          <t>Kerry Leichtman:</t>
        </r>
        <r>
          <rPr>
            <sz val="9"/>
            <color indexed="81"/>
            <rFont val="Tahoma"/>
            <family val="2"/>
          </rPr>
          <t xml:space="preserve">
30 years</t>
        </r>
      </text>
    </comment>
    <comment ref="I21" authorId="0" shapeId="0" xr:uid="{ED04A5DD-DF65-4C26-B7FC-9FED137D350B}">
      <text>
        <r>
          <rPr>
            <b/>
            <sz val="9"/>
            <color indexed="81"/>
            <rFont val="Tahoma"/>
            <family val="2"/>
          </rPr>
          <t>Kerry Leichtman:</t>
        </r>
        <r>
          <rPr>
            <sz val="9"/>
            <color indexed="81"/>
            <rFont val="Tahoma"/>
            <family val="2"/>
          </rPr>
          <t xml:space="preserve">
land acquistion, f&amp;e, title insur, builder's risk &amp; insur, appraisal for lender underwriting, cost reimbursements to utilities, permit fees, etc.
</t>
        </r>
      </text>
    </comment>
  </commentList>
</comments>
</file>

<file path=xl/sharedStrings.xml><?xml version="1.0" encoding="utf-8"?>
<sst xmlns="http://schemas.openxmlformats.org/spreadsheetml/2006/main" count="158" uniqueCount="142">
  <si>
    <t>24,000-41,000 annually</t>
  </si>
  <si>
    <t>families earning 60% or less of AMI (area median income</t>
  </si>
  <si>
    <t>community room</t>
  </si>
  <si>
    <t>1 space/apt (realistic?)</t>
  </si>
  <si>
    <t>parking (100 spaces)</t>
  </si>
  <si>
    <t>walking paths</t>
  </si>
  <si>
    <t>farmer's market</t>
  </si>
  <si>
    <t>playground</t>
  </si>
  <si>
    <t>fitness room</t>
  </si>
  <si>
    <t>elevator</t>
  </si>
  <si>
    <t>Replacement Reserve</t>
  </si>
  <si>
    <t>Resident Service Coordinator</t>
  </si>
  <si>
    <t>Property &amp; Liability Insurance</t>
  </si>
  <si>
    <t>Building Systems Maintenance</t>
  </si>
  <si>
    <t>reserve accounts (maintenance and repairs)</t>
  </si>
  <si>
    <t>Other Contractual Services</t>
  </si>
  <si>
    <t>sf proposed building size</t>
  </si>
  <si>
    <t>Building Tools &amp; Supplies</t>
  </si>
  <si>
    <t>sf</t>
  </si>
  <si>
    <t>Building Maintenance</t>
  </si>
  <si>
    <t xml:space="preserve">/sf </t>
  </si>
  <si>
    <t>Grounds Contractual Services</t>
  </si>
  <si>
    <t>construction costs</t>
  </si>
  <si>
    <t>Vehicle &amp; Equipment Expenses</t>
  </si>
  <si>
    <t>total development costs</t>
  </si>
  <si>
    <t>Garabage &amp; Trash Removal</t>
  </si>
  <si>
    <t>Water &amp; Sewer</t>
  </si>
  <si>
    <t>Electricity</t>
  </si>
  <si>
    <t>Fuel &amp; Gas</t>
  </si>
  <si>
    <t>misc costs</t>
  </si>
  <si>
    <t>Janirtorial/Cleaning</t>
  </si>
  <si>
    <t>financing fees</t>
  </si>
  <si>
    <t>Audit</t>
  </si>
  <si>
    <t>reserve accounts</t>
  </si>
  <si>
    <t>Legal</t>
  </si>
  <si>
    <t>professional fees</t>
  </si>
  <si>
    <t>Marketing</t>
  </si>
  <si>
    <t>contingency</t>
  </si>
  <si>
    <t>Management Expenses &amp; reimbursements</t>
  </si>
  <si>
    <t>construction</t>
  </si>
  <si>
    <t>Management Fees</t>
  </si>
  <si>
    <t>Estimated Development Costs</t>
  </si>
  <si>
    <t>Auburn: Camden factor</t>
  </si>
  <si>
    <t>Camden</t>
  </si>
  <si>
    <t>Auburn</t>
  </si>
  <si>
    <t>Operating Expenses</t>
  </si>
  <si>
    <t>monthly</t>
  </si>
  <si>
    <t>annually</t>
  </si>
  <si>
    <t>developer</t>
  </si>
  <si>
    <t xml:space="preserve">Property tax income               </t>
  </si>
  <si>
    <t>value</t>
  </si>
  <si>
    <t xml:space="preserve"> (75:25 CEA 30-yrTIF)</t>
  </si>
  <si>
    <t>town</t>
  </si>
  <si>
    <t>tax revenue for town</t>
  </si>
  <si>
    <t>cap rate</t>
  </si>
  <si>
    <t>Tax rate</t>
  </si>
  <si>
    <t>returned to property owner</t>
  </si>
  <si>
    <t xml:space="preserve">Net Operating Income </t>
  </si>
  <si>
    <t>Purchase price</t>
  </si>
  <si>
    <t>gross tax</t>
  </si>
  <si>
    <t>expenses</t>
  </si>
  <si>
    <t>Income to Camden</t>
  </si>
  <si>
    <t>2020/21 tax rate</t>
  </si>
  <si>
    <t>effective gross income</t>
  </si>
  <si>
    <t>total property value</t>
  </si>
  <si>
    <t>vacancy &amp; loss (5%)</t>
  </si>
  <si>
    <t>building value</t>
  </si>
  <si>
    <t>units</t>
  </si>
  <si>
    <t>3 bedroom</t>
  </si>
  <si>
    <t>value per unit</t>
  </si>
  <si>
    <t>2 bedroom</t>
  </si>
  <si>
    <t>land value</t>
  </si>
  <si>
    <t>1 bedroom</t>
  </si>
  <si>
    <t>Cost Approach</t>
  </si>
  <si>
    <t>tax credits</t>
  </si>
  <si>
    <t>annual income high</t>
  </si>
  <si>
    <t>annual income low</t>
  </si>
  <si>
    <t>monthly income high</t>
  </si>
  <si>
    <t>monthly income low</t>
  </si>
  <si>
    <t>rent-high</t>
  </si>
  <si>
    <t>rent-low</t>
  </si>
  <si>
    <t># of units</t>
  </si>
  <si>
    <t>acres</t>
  </si>
  <si>
    <t>Land</t>
  </si>
  <si>
    <t>reserves</t>
  </si>
  <si>
    <t>Barn wing</t>
  </si>
  <si>
    <t>tax rate</t>
  </si>
  <si>
    <t>supplies</t>
  </si>
  <si>
    <t>utilities</t>
  </si>
  <si>
    <t>Community Barn</t>
  </si>
  <si>
    <t>heat</t>
  </si>
  <si>
    <t>19 Workshops</t>
  </si>
  <si>
    <t>decorating</t>
  </si>
  <si>
    <t>base rate</t>
  </si>
  <si>
    <t>advertising</t>
  </si>
  <si>
    <t>VG/W PLUM</t>
  </si>
  <si>
    <t>CAB4</t>
  </si>
  <si>
    <t>maintenance</t>
  </si>
  <si>
    <t>GD/W PLUM</t>
  </si>
  <si>
    <t>CAB3</t>
  </si>
  <si>
    <t>accounting</t>
  </si>
  <si>
    <t>STUDIO/EX</t>
  </si>
  <si>
    <t>STU2</t>
  </si>
  <si>
    <t>legal fees</t>
  </si>
  <si>
    <t>STUDIO/GD</t>
  </si>
  <si>
    <t>STU1</t>
  </si>
  <si>
    <t>insurance</t>
  </si>
  <si>
    <t>net annual income</t>
  </si>
  <si>
    <t>WRKSHP/GD</t>
  </si>
  <si>
    <t>SHP5</t>
  </si>
  <si>
    <t>staff</t>
  </si>
  <si>
    <t>net monthy income</t>
  </si>
  <si>
    <t>Base Rates</t>
  </si>
  <si>
    <t>management</t>
  </si>
  <si>
    <t>operating expences</t>
  </si>
  <si>
    <t>NA</t>
  </si>
  <si>
    <t>debt service</t>
  </si>
  <si>
    <t>tax revenue</t>
  </si>
  <si>
    <t>vacancy &amp; loss</t>
  </si>
  <si>
    <t>barn</t>
  </si>
  <si>
    <t>gross income</t>
  </si>
  <si>
    <t>30x40 wkshp</t>
  </si>
  <si>
    <t>30x40</t>
  </si>
  <si>
    <t>20x30 wkshp</t>
  </si>
  <si>
    <t>20x30</t>
  </si>
  <si>
    <t>property tax</t>
  </si>
  <si>
    <t>total wkshp value combined</t>
  </si>
  <si>
    <t>annual income</t>
  </si>
  <si>
    <t>monthly income</t>
  </si>
  <si>
    <t>lease rate/sf</t>
  </si>
  <si>
    <t>total sf</t>
  </si>
  <si>
    <t>wkshp value</t>
  </si>
  <si>
    <t>sf/wkshp</t>
  </si>
  <si>
    <t>workshop dimensions</t>
  </si>
  <si>
    <t>workshops</t>
  </si>
  <si>
    <t>total tax revenue</t>
  </si>
  <si>
    <t>total taxable value</t>
  </si>
  <si>
    <t>Assuming 2, 3-bedroom homes and 1, 4-bedroom home</t>
  </si>
  <si>
    <t>lot size</t>
  </si>
  <si>
    <t>4 bed/2 bath</t>
  </si>
  <si>
    <t>3 bed/1 bath</t>
  </si>
  <si>
    <t>Habitat For Humanity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</si>
</sst>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2"/>
    <xf numFmtId="164" fontId="0" fillId="0" borderId="0" xfId="3" applyNumberFormat="1" applyFont="1"/>
    <xf numFmtId="0" fontId="4" fillId="0" borderId="0" xfId="2" applyFont="1"/>
    <xf numFmtId="43" fontId="3" fillId="0" borderId="0" xfId="2" applyNumberFormat="1"/>
    <xf numFmtId="6" fontId="3" fillId="0" borderId="0" xfId="2" applyNumberFormat="1"/>
    <xf numFmtId="165" fontId="0" fillId="0" borderId="0" xfId="4" applyNumberFormat="1" applyFont="1"/>
    <xf numFmtId="43" fontId="4" fillId="2" borderId="0" xfId="2" applyNumberFormat="1" applyFont="1" applyFill="1"/>
    <xf numFmtId="164" fontId="0" fillId="0" borderId="0" xfId="3" applyNumberFormat="1" applyFont="1" applyAlignment="1"/>
    <xf numFmtId="0" fontId="1" fillId="0" borderId="0" xfId="2" applyFont="1"/>
    <xf numFmtId="166" fontId="0" fillId="0" borderId="0" xfId="3" applyNumberFormat="1" applyFont="1"/>
    <xf numFmtId="164" fontId="4" fillId="2" borderId="0" xfId="3" applyNumberFormat="1" applyFont="1" applyFill="1"/>
    <xf numFmtId="164" fontId="3" fillId="0" borderId="0" xfId="2" applyNumberFormat="1"/>
    <xf numFmtId="0" fontId="3" fillId="0" borderId="0" xfId="2" applyAlignment="1">
      <alignment wrapText="1"/>
    </xf>
    <xf numFmtId="164" fontId="0" fillId="0" borderId="0" xfId="3" applyNumberFormat="1" applyFont="1" applyAlignment="1">
      <alignment wrapText="1"/>
    </xf>
    <xf numFmtId="0" fontId="3" fillId="0" borderId="0" xfId="2" quotePrefix="1" applyAlignment="1">
      <alignment wrapText="1"/>
    </xf>
    <xf numFmtId="3" fontId="3" fillId="0" borderId="0" xfId="2" applyNumberFormat="1"/>
    <xf numFmtId="0" fontId="3" fillId="0" borderId="0" xfId="2" applyAlignment="1">
      <alignment horizontal="right"/>
    </xf>
    <xf numFmtId="167" fontId="3" fillId="0" borderId="0" xfId="2" applyNumberFormat="1"/>
    <xf numFmtId="43" fontId="0" fillId="0" borderId="0" xfId="3" applyFont="1"/>
    <xf numFmtId="0" fontId="3" fillId="0" borderId="0" xfId="2" applyAlignment="1">
      <alignment horizontal="center"/>
    </xf>
    <xf numFmtId="44" fontId="0" fillId="0" borderId="0" xfId="4" applyFont="1"/>
    <xf numFmtId="9" fontId="0" fillId="0" borderId="0" xfId="5" applyFont="1"/>
    <xf numFmtId="9" fontId="3" fillId="0" borderId="0" xfId="2" applyNumberFormat="1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164" fontId="2" fillId="0" borderId="0" xfId="1" applyNumberFormat="1" applyFont="1" applyAlignment="1">
      <alignment horizontal="center"/>
    </xf>
    <xf numFmtId="43" fontId="3" fillId="3" borderId="0" xfId="2" applyNumberFormat="1" applyFill="1"/>
    <xf numFmtId="164" fontId="3" fillId="2" borderId="0" xfId="2" applyNumberFormat="1" applyFill="1"/>
    <xf numFmtId="164" fontId="0" fillId="3" borderId="0" xfId="1" applyNumberFormat="1" applyFont="1" applyFill="1"/>
    <xf numFmtId="164" fontId="0" fillId="2" borderId="0" xfId="1" applyNumberFormat="1" applyFont="1" applyFill="1"/>
    <xf numFmtId="164" fontId="4" fillId="0" borderId="0" xfId="3" applyNumberFormat="1" applyFont="1" applyAlignment="1">
      <alignment horizontal="center"/>
    </xf>
    <xf numFmtId="0" fontId="3" fillId="0" borderId="0" xfId="2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</cellXfs>
  <cellStyles count="6">
    <cellStyle name="Comma" xfId="1" builtinId="3"/>
    <cellStyle name="Comma 2" xfId="3" xr:uid="{2F16982B-BEDA-4FD4-AE33-5245131B4F73}"/>
    <cellStyle name="Currency 2" xfId="4" xr:uid="{365F313D-6393-400A-A6FC-481937FBA15B}"/>
    <cellStyle name="Normal" xfId="0" builtinId="0"/>
    <cellStyle name="Normal 2" xfId="2" xr:uid="{653E9D14-61DA-4CD0-8142-0399155BB312}"/>
    <cellStyle name="Percent 2" xfId="5" xr:uid="{6811F66F-74DA-4E86-A494-5DF7F68F16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24F-A1BA-48DB-95DC-CA7D7013BB99}">
  <sheetPr>
    <pageSetUpPr fitToPage="1"/>
  </sheetPr>
  <dimension ref="A1:Q45"/>
  <sheetViews>
    <sheetView tabSelected="1" workbookViewId="0">
      <selection activeCell="B11" sqref="B11:B12"/>
    </sheetView>
  </sheetViews>
  <sheetFormatPr defaultColWidth="12.54296875" defaultRowHeight="15.5" x14ac:dyDescent="0.35"/>
  <cols>
    <col min="1" max="1" width="19" style="1" bestFit="1" customWidth="1"/>
    <col min="2" max="2" width="14.453125" style="1" bestFit="1" customWidth="1"/>
    <col min="3" max="4" width="12.54296875" style="1"/>
    <col min="5" max="5" width="12.1796875" style="2" customWidth="1"/>
    <col min="6" max="6" width="13.54296875" style="2" customWidth="1"/>
    <col min="7" max="7" width="12.54296875" style="1"/>
    <col min="8" max="8" width="15.7265625" style="1" bestFit="1" customWidth="1"/>
    <col min="9" max="9" width="18.453125" style="1" customWidth="1"/>
    <col min="10" max="10" width="15.54296875" style="1" customWidth="1"/>
    <col min="11" max="12" width="12.54296875" style="1"/>
    <col min="13" max="13" width="16.81640625" style="1" bestFit="1" customWidth="1"/>
    <col min="14" max="14" width="12.54296875" style="2"/>
    <col min="15" max="16384" width="12.54296875" style="1"/>
  </cols>
  <sheetData>
    <row r="1" spans="1:17" s="13" customFormat="1" ht="31" x14ac:dyDescent="0.35">
      <c r="B1" s="15" t="s">
        <v>81</v>
      </c>
      <c r="C1" s="13" t="s">
        <v>80</v>
      </c>
      <c r="D1" s="13" t="s">
        <v>79</v>
      </c>
      <c r="E1" s="14" t="s">
        <v>78</v>
      </c>
      <c r="F1" s="14" t="s">
        <v>77</v>
      </c>
      <c r="G1" s="13" t="s">
        <v>76</v>
      </c>
      <c r="H1" s="13" t="s">
        <v>75</v>
      </c>
      <c r="I1" s="13" t="s">
        <v>74</v>
      </c>
      <c r="K1" s="32" t="s">
        <v>73</v>
      </c>
      <c r="L1" s="32"/>
      <c r="M1" s="1"/>
      <c r="N1" s="14"/>
    </row>
    <row r="2" spans="1:17" x14ac:dyDescent="0.35">
      <c r="A2" s="1" t="s">
        <v>72</v>
      </c>
      <c r="B2" s="1">
        <v>24</v>
      </c>
      <c r="C2" s="1">
        <v>640</v>
      </c>
      <c r="D2" s="1">
        <v>770</v>
      </c>
      <c r="E2" s="2">
        <f>B2*C2</f>
        <v>15360</v>
      </c>
      <c r="F2" s="2">
        <f>B2*D2</f>
        <v>18480</v>
      </c>
      <c r="G2" s="12">
        <f t="shared" ref="G2:H4" si="0">E2*12</f>
        <v>184320</v>
      </c>
      <c r="H2" s="12">
        <f t="shared" si="0"/>
        <v>221760</v>
      </c>
      <c r="K2" s="2">
        <v>208400</v>
      </c>
      <c r="L2" s="1" t="s">
        <v>71</v>
      </c>
    </row>
    <row r="3" spans="1:17" x14ac:dyDescent="0.35">
      <c r="A3" s="1" t="s">
        <v>70</v>
      </c>
      <c r="B3" s="1">
        <v>14</v>
      </c>
      <c r="C3" s="1">
        <v>767</v>
      </c>
      <c r="D3" s="1">
        <v>921</v>
      </c>
      <c r="E3" s="2">
        <f>B3*C3</f>
        <v>10738</v>
      </c>
      <c r="F3" s="2">
        <f>B3*D3</f>
        <v>12894</v>
      </c>
      <c r="G3" s="12">
        <f t="shared" si="0"/>
        <v>128856</v>
      </c>
      <c r="H3" s="12">
        <f t="shared" si="0"/>
        <v>154728</v>
      </c>
      <c r="K3" s="2">
        <v>55536</v>
      </c>
      <c r="L3" s="1" t="s">
        <v>69</v>
      </c>
    </row>
    <row r="4" spans="1:17" x14ac:dyDescent="0.35">
      <c r="A4" s="1" t="s">
        <v>68</v>
      </c>
      <c r="B4" s="1">
        <v>10</v>
      </c>
      <c r="C4" s="1">
        <v>886</v>
      </c>
      <c r="D4" s="1">
        <v>1054</v>
      </c>
      <c r="E4" s="2">
        <f>B4*C4</f>
        <v>8860</v>
      </c>
      <c r="F4" s="2">
        <f>B4*D4</f>
        <v>10540</v>
      </c>
      <c r="G4" s="12">
        <f t="shared" si="0"/>
        <v>106320</v>
      </c>
      <c r="H4" s="12">
        <f t="shared" si="0"/>
        <v>126480</v>
      </c>
      <c r="K4" s="2">
        <v>48</v>
      </c>
      <c r="L4" s="1" t="s">
        <v>67</v>
      </c>
      <c r="N4" s="1"/>
      <c r="Q4" s="2"/>
    </row>
    <row r="5" spans="1:17" x14ac:dyDescent="0.35">
      <c r="B5" s="1">
        <f>SUM(B2:B4)</f>
        <v>48</v>
      </c>
      <c r="E5" s="2">
        <f>SUM(E2:E4)</f>
        <v>34958</v>
      </c>
      <c r="F5" s="2">
        <f>SUM(F2:F4)</f>
        <v>41914</v>
      </c>
      <c r="G5" s="12">
        <f>SUM(G2:G4)</f>
        <v>419496</v>
      </c>
      <c r="H5" s="12">
        <f>SUM(H2:H4)</f>
        <v>502968</v>
      </c>
      <c r="K5" s="2">
        <f>K3*K4</f>
        <v>2665728</v>
      </c>
      <c r="L5" s="1" t="s">
        <v>66</v>
      </c>
      <c r="N5" s="1"/>
      <c r="Q5" s="2"/>
    </row>
    <row r="6" spans="1:17" x14ac:dyDescent="0.35">
      <c r="G6" s="12">
        <f>G5*0.05</f>
        <v>20974.800000000003</v>
      </c>
      <c r="H6" s="12">
        <f>H5*0.05</f>
        <v>25148.400000000001</v>
      </c>
      <c r="I6" s="1" t="s">
        <v>65</v>
      </c>
      <c r="K6" s="11">
        <f>K2+K5</f>
        <v>2874128</v>
      </c>
      <c r="L6" s="1" t="s">
        <v>64</v>
      </c>
    </row>
    <row r="7" spans="1:17" x14ac:dyDescent="0.35">
      <c r="G7" s="4">
        <f>G5-(G5*0.05)</f>
        <v>398521.2</v>
      </c>
      <c r="H7" s="4">
        <f>H5-(H5*0.05)</f>
        <v>477819.6</v>
      </c>
      <c r="I7" s="1" t="s">
        <v>63</v>
      </c>
      <c r="K7" s="10">
        <v>1.503E-2</v>
      </c>
      <c r="L7" s="1" t="s">
        <v>62</v>
      </c>
    </row>
    <row r="8" spans="1:17" x14ac:dyDescent="0.35">
      <c r="A8" s="1" t="s">
        <v>61</v>
      </c>
      <c r="H8" s="4">
        <f>C35</f>
        <v>281600</v>
      </c>
      <c r="I8" s="1" t="s">
        <v>60</v>
      </c>
      <c r="K8" s="2">
        <f>K6*K7</f>
        <v>43198.143839999997</v>
      </c>
      <c r="L8" s="1" t="s">
        <v>59</v>
      </c>
    </row>
    <row r="9" spans="1:17" x14ac:dyDescent="0.35">
      <c r="A9" s="1" t="s">
        <v>58</v>
      </c>
      <c r="B9" s="2">
        <v>85000</v>
      </c>
      <c r="H9" s="4">
        <f>H7-H8</f>
        <v>196219.59999999998</v>
      </c>
      <c r="I9" s="9" t="s">
        <v>57</v>
      </c>
      <c r="K9" s="2">
        <f>K8*0.75</f>
        <v>32398.607879999996</v>
      </c>
      <c r="L9" s="1" t="s">
        <v>56</v>
      </c>
    </row>
    <row r="10" spans="1:17" x14ac:dyDescent="0.35">
      <c r="A10" s="1" t="s">
        <v>55</v>
      </c>
      <c r="B10" s="1">
        <v>1.503E-2</v>
      </c>
      <c r="E10" s="8"/>
      <c r="F10" s="8"/>
      <c r="H10" s="1">
        <v>0.08</v>
      </c>
      <c r="I10" s="1" t="s">
        <v>54</v>
      </c>
      <c r="K10" s="2">
        <f>K8*0.25</f>
        <v>10799.535959999999</v>
      </c>
      <c r="L10" s="1" t="s">
        <v>53</v>
      </c>
      <c r="N10" s="1"/>
    </row>
    <row r="11" spans="1:17" x14ac:dyDescent="0.35">
      <c r="A11" s="1" t="s">
        <v>49</v>
      </c>
      <c r="B11" s="28">
        <f>(H11*B10)*0.25</f>
        <v>9216.1893374999981</v>
      </c>
      <c r="C11" s="1" t="s">
        <v>52</v>
      </c>
      <c r="D11" s="1" t="s">
        <v>51</v>
      </c>
      <c r="H11" s="7">
        <f>H9/H10</f>
        <v>2452744.9999999995</v>
      </c>
      <c r="I11" s="1" t="s">
        <v>50</v>
      </c>
    </row>
    <row r="12" spans="1:17" x14ac:dyDescent="0.35">
      <c r="A12" s="1" t="s">
        <v>49</v>
      </c>
      <c r="B12" s="28">
        <f>(H11*B10)*0.75</f>
        <v>27648.568012499993</v>
      </c>
      <c r="C12" s="1" t="s">
        <v>48</v>
      </c>
    </row>
    <row r="14" spans="1:17" x14ac:dyDescent="0.35">
      <c r="J14" s="1" t="s">
        <v>47</v>
      </c>
      <c r="K14" s="1" t="s">
        <v>46</v>
      </c>
    </row>
    <row r="15" spans="1:17" x14ac:dyDescent="0.35">
      <c r="A15" s="1" t="s">
        <v>45</v>
      </c>
      <c r="B15" s="2" t="s">
        <v>44</v>
      </c>
      <c r="C15" s="1" t="s">
        <v>43</v>
      </c>
      <c r="E15" s="1">
        <v>0.90566283889379628</v>
      </c>
      <c r="F15" s="2" t="s">
        <v>42</v>
      </c>
      <c r="H15" s="1" t="s">
        <v>41</v>
      </c>
    </row>
    <row r="16" spans="1:17" x14ac:dyDescent="0.35">
      <c r="A16" s="1" t="s">
        <v>40</v>
      </c>
      <c r="B16" s="2">
        <v>34600</v>
      </c>
      <c r="C16" s="4">
        <f t="shared" ref="C16:C34" si="1">ROUND(E16,-2)</f>
        <v>31300</v>
      </c>
      <c r="E16" s="4">
        <f t="shared" ref="E16:E34" si="2">B16*$E$15</f>
        <v>31335.934225725352</v>
      </c>
      <c r="H16" s="2">
        <v>9600000</v>
      </c>
      <c r="I16" s="1" t="s">
        <v>39</v>
      </c>
    </row>
    <row r="17" spans="1:17" x14ac:dyDescent="0.35">
      <c r="A17" s="1" t="s">
        <v>38</v>
      </c>
      <c r="B17" s="2">
        <v>5100</v>
      </c>
      <c r="C17" s="4">
        <f t="shared" si="1"/>
        <v>4600</v>
      </c>
      <c r="E17" s="4">
        <f t="shared" si="2"/>
        <v>4618.880478358361</v>
      </c>
      <c r="H17" s="2">
        <v>420000</v>
      </c>
      <c r="I17" s="1" t="s">
        <v>37</v>
      </c>
    </row>
    <row r="18" spans="1:17" x14ac:dyDescent="0.35">
      <c r="A18" s="1" t="s">
        <v>36</v>
      </c>
      <c r="B18" s="2">
        <v>3100</v>
      </c>
      <c r="C18" s="4">
        <f t="shared" si="1"/>
        <v>2800</v>
      </c>
      <c r="E18" s="4">
        <f t="shared" si="2"/>
        <v>2807.5548005707683</v>
      </c>
      <c r="H18" s="2">
        <v>1700000</v>
      </c>
      <c r="I18" s="1" t="s">
        <v>35</v>
      </c>
    </row>
    <row r="19" spans="1:17" x14ac:dyDescent="0.35">
      <c r="A19" s="1" t="s">
        <v>34</v>
      </c>
      <c r="B19" s="2">
        <v>3100</v>
      </c>
      <c r="C19" s="4">
        <f t="shared" si="1"/>
        <v>2800</v>
      </c>
      <c r="E19" s="4">
        <f t="shared" si="2"/>
        <v>2807.5548005707683</v>
      </c>
      <c r="H19" s="2">
        <v>430000</v>
      </c>
      <c r="I19" s="1" t="s">
        <v>33</v>
      </c>
      <c r="J19" s="4">
        <f>H19/30</f>
        <v>14333.333333333334</v>
      </c>
      <c r="K19" s="4">
        <f>J19/12</f>
        <v>1194.4444444444446</v>
      </c>
    </row>
    <row r="20" spans="1:17" x14ac:dyDescent="0.35">
      <c r="A20" s="1" t="s">
        <v>32</v>
      </c>
      <c r="B20" s="2">
        <v>5100</v>
      </c>
      <c r="C20" s="4">
        <f t="shared" si="1"/>
        <v>4600</v>
      </c>
      <c r="E20" s="4">
        <f t="shared" si="2"/>
        <v>4618.880478358361</v>
      </c>
      <c r="H20" s="2">
        <v>550000</v>
      </c>
      <c r="I20" s="1" t="s">
        <v>31</v>
      </c>
      <c r="J20" s="4">
        <f>H20/30</f>
        <v>18333.333333333332</v>
      </c>
      <c r="K20" s="4">
        <f>J20/12</f>
        <v>1527.7777777777776</v>
      </c>
    </row>
    <row r="21" spans="1:17" x14ac:dyDescent="0.35">
      <c r="A21" s="1" t="s">
        <v>30</v>
      </c>
      <c r="B21" s="2">
        <v>12500</v>
      </c>
      <c r="C21" s="4">
        <f t="shared" si="1"/>
        <v>11300</v>
      </c>
      <c r="E21" s="4">
        <f t="shared" si="2"/>
        <v>11320.785486172454</v>
      </c>
      <c r="F21" s="1"/>
      <c r="H21" s="2">
        <v>340000</v>
      </c>
      <c r="I21" s="1" t="s">
        <v>29</v>
      </c>
      <c r="J21" s="4">
        <f>H21/30</f>
        <v>11333.333333333334</v>
      </c>
      <c r="K21" s="4">
        <f>J21/12</f>
        <v>944.44444444444446</v>
      </c>
    </row>
    <row r="22" spans="1:17" x14ac:dyDescent="0.35">
      <c r="A22" s="1" t="s">
        <v>28</v>
      </c>
      <c r="B22" s="2">
        <v>39400</v>
      </c>
      <c r="C22" s="4">
        <f t="shared" si="1"/>
        <v>35700</v>
      </c>
      <c r="E22" s="4">
        <f t="shared" si="2"/>
        <v>35683.115852415576</v>
      </c>
      <c r="H22" s="2">
        <f>SUM(H16:H21)</f>
        <v>13040000</v>
      </c>
    </row>
    <row r="23" spans="1:17" x14ac:dyDescent="0.35">
      <c r="A23" s="1" t="s">
        <v>27</v>
      </c>
      <c r="B23" s="2">
        <v>21400</v>
      </c>
      <c r="C23" s="4">
        <f t="shared" si="1"/>
        <v>19400</v>
      </c>
      <c r="E23" s="4">
        <f t="shared" si="2"/>
        <v>19381.184752327241</v>
      </c>
      <c r="H23" s="2"/>
      <c r="P23" s="2"/>
      <c r="Q23" s="2"/>
    </row>
    <row r="24" spans="1:17" x14ac:dyDescent="0.35">
      <c r="A24" s="1" t="s">
        <v>26</v>
      </c>
      <c r="B24" s="2">
        <v>21400</v>
      </c>
      <c r="C24" s="4">
        <f t="shared" si="1"/>
        <v>19400</v>
      </c>
      <c r="E24" s="4">
        <f t="shared" si="2"/>
        <v>19381.184752327241</v>
      </c>
      <c r="H24" s="2"/>
      <c r="P24" s="2"/>
      <c r="Q24" s="2"/>
    </row>
    <row r="25" spans="1:17" x14ac:dyDescent="0.35">
      <c r="A25" s="1" t="s">
        <v>25</v>
      </c>
      <c r="B25" s="2">
        <v>9100</v>
      </c>
      <c r="C25" s="4">
        <f t="shared" si="1"/>
        <v>8200</v>
      </c>
      <c r="E25" s="4">
        <f t="shared" si="2"/>
        <v>8241.5318339335463</v>
      </c>
      <c r="F25" s="1"/>
      <c r="H25" s="6">
        <v>13040000</v>
      </c>
      <c r="I25" s="1" t="s">
        <v>24</v>
      </c>
      <c r="O25" s="3"/>
      <c r="P25" s="2"/>
      <c r="Q25" s="2"/>
    </row>
    <row r="26" spans="1:17" x14ac:dyDescent="0.35">
      <c r="A26" s="1" t="s">
        <v>23</v>
      </c>
      <c r="B26" s="2">
        <v>1200</v>
      </c>
      <c r="C26" s="4">
        <f t="shared" si="1"/>
        <v>1100</v>
      </c>
      <c r="E26" s="4">
        <f t="shared" si="2"/>
        <v>1086.7954066725556</v>
      </c>
      <c r="H26" s="5">
        <v>9600000</v>
      </c>
      <c r="I26" s="1" t="s">
        <v>22</v>
      </c>
      <c r="O26" s="3"/>
      <c r="P26" s="2"/>
      <c r="Q26" s="2"/>
    </row>
    <row r="27" spans="1:17" x14ac:dyDescent="0.35">
      <c r="A27" s="1" t="s">
        <v>21</v>
      </c>
      <c r="B27" s="2">
        <v>21400</v>
      </c>
      <c r="C27" s="4">
        <f t="shared" si="1"/>
        <v>19400</v>
      </c>
      <c r="E27" s="4">
        <f t="shared" si="2"/>
        <v>19381.184752327241</v>
      </c>
      <c r="F27" s="1"/>
      <c r="H27" s="5">
        <v>200</v>
      </c>
      <c r="I27" s="1" t="s">
        <v>20</v>
      </c>
      <c r="O27" s="3"/>
      <c r="P27" s="2"/>
      <c r="Q27" s="2"/>
    </row>
    <row r="28" spans="1:17" x14ac:dyDescent="0.35">
      <c r="A28" s="1" t="s">
        <v>19</v>
      </c>
      <c r="B28" s="2">
        <v>42900</v>
      </c>
      <c r="C28" s="4">
        <f t="shared" si="1"/>
        <v>38900</v>
      </c>
      <c r="E28" s="4">
        <f t="shared" si="2"/>
        <v>38852.935788543859</v>
      </c>
      <c r="F28" s="1"/>
      <c r="H28" s="2">
        <f>9600000/200</f>
        <v>48000</v>
      </c>
      <c r="I28" s="1" t="s">
        <v>18</v>
      </c>
      <c r="O28" s="3"/>
      <c r="P28" s="2"/>
      <c r="Q28" s="2"/>
    </row>
    <row r="29" spans="1:17" x14ac:dyDescent="0.35">
      <c r="A29" s="1" t="s">
        <v>17</v>
      </c>
      <c r="B29" s="2">
        <v>10700</v>
      </c>
      <c r="C29" s="4">
        <f t="shared" si="1"/>
        <v>9700</v>
      </c>
      <c r="E29" s="4">
        <f t="shared" si="2"/>
        <v>9690.5923761636204</v>
      </c>
      <c r="H29" s="2">
        <v>20000</v>
      </c>
      <c r="I29" s="1" t="s">
        <v>16</v>
      </c>
      <c r="O29" s="3"/>
      <c r="P29" s="2"/>
      <c r="Q29" s="2"/>
    </row>
    <row r="30" spans="1:17" x14ac:dyDescent="0.35">
      <c r="A30" s="1" t="s">
        <v>15</v>
      </c>
      <c r="B30" s="2">
        <v>15400</v>
      </c>
      <c r="C30" s="4">
        <f t="shared" si="1"/>
        <v>13900</v>
      </c>
      <c r="E30" s="4">
        <f t="shared" si="2"/>
        <v>13947.207718964462</v>
      </c>
      <c r="H30" s="2">
        <v>430000</v>
      </c>
      <c r="I30" s="1" t="s">
        <v>14</v>
      </c>
      <c r="O30" s="3"/>
      <c r="P30" s="2"/>
      <c r="Q30" s="2"/>
    </row>
    <row r="31" spans="1:17" x14ac:dyDescent="0.35">
      <c r="A31" s="1" t="s">
        <v>13</v>
      </c>
      <c r="B31" s="2">
        <v>7700</v>
      </c>
      <c r="C31" s="4">
        <f t="shared" si="1"/>
        <v>7000</v>
      </c>
      <c r="E31" s="4">
        <f t="shared" si="2"/>
        <v>6973.6038594822312</v>
      </c>
      <c r="O31" s="3"/>
      <c r="P31" s="2"/>
      <c r="Q31" s="2"/>
    </row>
    <row r="32" spans="1:17" x14ac:dyDescent="0.35">
      <c r="A32" s="1" t="s">
        <v>12</v>
      </c>
      <c r="B32" s="2">
        <v>12900</v>
      </c>
      <c r="C32" s="4">
        <f t="shared" si="1"/>
        <v>11700</v>
      </c>
      <c r="E32" s="4">
        <f t="shared" si="2"/>
        <v>11683.050621729972</v>
      </c>
      <c r="O32" s="3"/>
      <c r="P32" s="2"/>
      <c r="Q32" s="2"/>
    </row>
    <row r="33" spans="1:17" x14ac:dyDescent="0.35">
      <c r="A33" s="1" t="s">
        <v>11</v>
      </c>
      <c r="B33" s="2">
        <v>16300</v>
      </c>
      <c r="C33" s="4">
        <f t="shared" si="1"/>
        <v>14800</v>
      </c>
      <c r="E33" s="4">
        <f t="shared" si="2"/>
        <v>14762.304273968879</v>
      </c>
      <c r="O33" s="3"/>
      <c r="P33" s="2"/>
      <c r="Q33" s="2"/>
    </row>
    <row r="34" spans="1:17" x14ac:dyDescent="0.35">
      <c r="A34" s="1" t="s">
        <v>10</v>
      </c>
      <c r="B34" s="2">
        <v>27600</v>
      </c>
      <c r="C34" s="4">
        <f t="shared" si="1"/>
        <v>25000</v>
      </c>
      <c r="E34" s="4">
        <f t="shared" si="2"/>
        <v>24996.294353468777</v>
      </c>
      <c r="O34" s="3"/>
      <c r="P34" s="2"/>
      <c r="Q34" s="2"/>
    </row>
    <row r="35" spans="1:17" x14ac:dyDescent="0.35">
      <c r="C35" s="4">
        <f>SUM(C16:C34)</f>
        <v>281600</v>
      </c>
      <c r="O35" s="3"/>
      <c r="P35" s="2"/>
      <c r="Q35" s="2"/>
    </row>
    <row r="36" spans="1:17" x14ac:dyDescent="0.35">
      <c r="A36" s="1" t="s">
        <v>9</v>
      </c>
      <c r="O36" s="3"/>
      <c r="P36" s="2"/>
      <c r="Q36" s="2"/>
    </row>
    <row r="37" spans="1:17" x14ac:dyDescent="0.35">
      <c r="A37" s="1" t="s">
        <v>8</v>
      </c>
      <c r="O37" s="3"/>
      <c r="P37" s="2"/>
      <c r="Q37" s="2"/>
    </row>
    <row r="38" spans="1:17" x14ac:dyDescent="0.35">
      <c r="A38" s="1" t="s">
        <v>7</v>
      </c>
    </row>
    <row r="39" spans="1:17" x14ac:dyDescent="0.35">
      <c r="A39" s="1" t="s">
        <v>6</v>
      </c>
    </row>
    <row r="40" spans="1:17" x14ac:dyDescent="0.35">
      <c r="A40" s="1" t="s">
        <v>5</v>
      </c>
    </row>
    <row r="41" spans="1:17" x14ac:dyDescent="0.35">
      <c r="A41" s="1" t="s">
        <v>4</v>
      </c>
      <c r="B41" s="1" t="s">
        <v>3</v>
      </c>
    </row>
    <row r="42" spans="1:17" x14ac:dyDescent="0.35">
      <c r="A42" s="1" t="s">
        <v>2</v>
      </c>
    </row>
    <row r="44" spans="1:17" x14ac:dyDescent="0.35">
      <c r="A44" s="1" t="s">
        <v>1</v>
      </c>
    </row>
    <row r="45" spans="1:17" x14ac:dyDescent="0.35">
      <c r="A45" s="1" t="s">
        <v>0</v>
      </c>
    </row>
  </sheetData>
  <mergeCells count="1">
    <mergeCell ref="K1:L1"/>
  </mergeCells>
  <printOptions gridLines="1"/>
  <pageMargins left="0.75" right="0.75" top="1" bottom="1" header="0.5" footer="0.5"/>
  <pageSetup scale="64" orientation="landscape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E998-4ED2-4287-A861-F83902BAFE04}">
  <sheetPr>
    <pageSetUpPr fitToPage="1"/>
  </sheetPr>
  <dimension ref="A1:M22"/>
  <sheetViews>
    <sheetView workbookViewId="0">
      <selection activeCell="L6" sqref="L6"/>
    </sheetView>
  </sheetViews>
  <sheetFormatPr defaultColWidth="12.54296875" defaultRowHeight="15.5" x14ac:dyDescent="0.35"/>
  <cols>
    <col min="1" max="6" width="12.54296875" style="1"/>
    <col min="7" max="7" width="13.1796875" style="1" bestFit="1" customWidth="1"/>
    <col min="8" max="8" width="19.54296875" style="1" bestFit="1" customWidth="1"/>
    <col min="9" max="10" width="12.54296875" style="1"/>
    <col min="11" max="11" width="17.7265625" style="1" bestFit="1" customWidth="1"/>
    <col min="12" max="16384" width="12.54296875" style="1"/>
  </cols>
  <sheetData>
    <row r="1" spans="1:13" s="13" customFormat="1" ht="31" x14ac:dyDescent="0.35">
      <c r="A1" s="13" t="s">
        <v>134</v>
      </c>
      <c r="B1" s="13" t="s">
        <v>133</v>
      </c>
      <c r="C1" s="13" t="s">
        <v>132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K1" s="13" t="s">
        <v>126</v>
      </c>
      <c r="L1" s="13" t="s">
        <v>125</v>
      </c>
    </row>
    <row r="2" spans="1:13" x14ac:dyDescent="0.35">
      <c r="A2" s="1">
        <v>6</v>
      </c>
      <c r="B2" s="1" t="s">
        <v>124</v>
      </c>
      <c r="C2" s="1">
        <f>20*30</f>
        <v>600</v>
      </c>
      <c r="D2" s="2">
        <f>C2*E10</f>
        <v>28800</v>
      </c>
      <c r="E2" s="1">
        <f>A2*C2</f>
        <v>3600</v>
      </c>
      <c r="F2" s="1">
        <v>6</v>
      </c>
      <c r="G2" s="2">
        <f>E2*F2</f>
        <v>21600</v>
      </c>
      <c r="H2" s="12">
        <f>G2*12</f>
        <v>259200</v>
      </c>
      <c r="K2" s="2">
        <f>D2*A2</f>
        <v>172800</v>
      </c>
      <c r="L2" s="4">
        <f>K2*$D$18</f>
        <v>2597.1840000000002</v>
      </c>
      <c r="M2" s="1" t="s">
        <v>123</v>
      </c>
    </row>
    <row r="3" spans="1:13" x14ac:dyDescent="0.35">
      <c r="A3" s="1">
        <v>13</v>
      </c>
      <c r="B3" s="1" t="s">
        <v>122</v>
      </c>
      <c r="C3" s="1">
        <f>30*40</f>
        <v>1200</v>
      </c>
      <c r="D3" s="2">
        <f>C3*E10</f>
        <v>57600</v>
      </c>
      <c r="E3" s="1">
        <f>A3*C3</f>
        <v>15600</v>
      </c>
      <c r="F3" s="1">
        <v>6</v>
      </c>
      <c r="G3" s="2">
        <f>E3*F3</f>
        <v>93600</v>
      </c>
      <c r="H3" s="12">
        <f>G3*12</f>
        <v>1123200</v>
      </c>
      <c r="K3" s="2">
        <f>D3*A3</f>
        <v>748800</v>
      </c>
      <c r="L3" s="4">
        <f>K3*$D$18</f>
        <v>11254.464</v>
      </c>
      <c r="M3" s="1" t="s">
        <v>121</v>
      </c>
    </row>
    <row r="4" spans="1:13" x14ac:dyDescent="0.35">
      <c r="E4" s="1">
        <f>SUM(E2:E3)</f>
        <v>19200</v>
      </c>
      <c r="G4" s="12">
        <f>SUM(G2:G3)</f>
        <v>115200</v>
      </c>
      <c r="H4" s="12">
        <f>SUM(H2:H3)</f>
        <v>1382400</v>
      </c>
      <c r="I4" s="1" t="s">
        <v>120</v>
      </c>
      <c r="K4" s="12">
        <f>K16+K17+K18</f>
        <v>377600</v>
      </c>
      <c r="L4" s="4">
        <f>K4*$D$18</f>
        <v>5675.3280000000004</v>
      </c>
      <c r="M4" s="1" t="s">
        <v>119</v>
      </c>
    </row>
    <row r="5" spans="1:13" x14ac:dyDescent="0.35">
      <c r="G5" s="22">
        <v>0.1</v>
      </c>
      <c r="H5" s="23">
        <v>0.1</v>
      </c>
      <c r="I5" s="1" t="s">
        <v>118</v>
      </c>
      <c r="K5" s="2">
        <v>215500</v>
      </c>
      <c r="L5" s="4">
        <f>K5*$D$18</f>
        <v>3238.9650000000001</v>
      </c>
      <c r="M5" s="1" t="s">
        <v>71</v>
      </c>
    </row>
    <row r="6" spans="1:13" x14ac:dyDescent="0.35">
      <c r="A6" s="1" t="s">
        <v>45</v>
      </c>
      <c r="G6" s="2">
        <f>G4-(G4*G5)</f>
        <v>103680</v>
      </c>
      <c r="H6" s="12">
        <f>H4-(H4*H5)</f>
        <v>1244160</v>
      </c>
      <c r="I6" s="1" t="s">
        <v>63</v>
      </c>
      <c r="K6" s="29">
        <f>SUM(K2:K5)</f>
        <v>1514700</v>
      </c>
      <c r="L6" s="28">
        <f>SUM(L2:L5)</f>
        <v>22765.941000000003</v>
      </c>
      <c r="M6" s="1" t="s">
        <v>117</v>
      </c>
    </row>
    <row r="7" spans="1:13" x14ac:dyDescent="0.35">
      <c r="A7" s="1" t="s">
        <v>116</v>
      </c>
      <c r="G7" s="22" t="s">
        <v>115</v>
      </c>
      <c r="H7" s="18">
        <f>H6*0.6</f>
        <v>746496</v>
      </c>
      <c r="I7" s="1" t="s">
        <v>114</v>
      </c>
      <c r="L7" s="21"/>
    </row>
    <row r="8" spans="1:13" x14ac:dyDescent="0.35">
      <c r="A8" s="1" t="s">
        <v>113</v>
      </c>
      <c r="C8" s="33" t="s">
        <v>112</v>
      </c>
      <c r="D8" s="33"/>
      <c r="E8" s="20"/>
      <c r="G8" s="12"/>
      <c r="H8" s="18">
        <f>H9/12</f>
        <v>41472</v>
      </c>
      <c r="I8" s="1" t="s">
        <v>111</v>
      </c>
      <c r="K8" s="19"/>
    </row>
    <row r="9" spans="1:13" x14ac:dyDescent="0.35">
      <c r="A9" s="1" t="s">
        <v>110</v>
      </c>
      <c r="C9" s="1" t="s">
        <v>109</v>
      </c>
      <c r="D9" s="1" t="s">
        <v>108</v>
      </c>
      <c r="E9" s="1">
        <v>39</v>
      </c>
      <c r="G9" s="12"/>
      <c r="H9" s="18">
        <f>H6-H7</f>
        <v>497664</v>
      </c>
      <c r="I9" s="1" t="s">
        <v>107</v>
      </c>
    </row>
    <row r="10" spans="1:13" x14ac:dyDescent="0.35">
      <c r="A10" s="1" t="s">
        <v>106</v>
      </c>
      <c r="C10" s="3" t="s">
        <v>105</v>
      </c>
      <c r="D10" s="3" t="s">
        <v>104</v>
      </c>
      <c r="E10" s="3">
        <v>48</v>
      </c>
      <c r="H10" s="1">
        <v>0.1</v>
      </c>
      <c r="I10" s="1" t="s">
        <v>54</v>
      </c>
    </row>
    <row r="11" spans="1:13" x14ac:dyDescent="0.35">
      <c r="A11" s="1" t="s">
        <v>103</v>
      </c>
      <c r="C11" s="1" t="s">
        <v>102</v>
      </c>
      <c r="D11" s="1" t="s">
        <v>101</v>
      </c>
      <c r="E11" s="1">
        <v>70</v>
      </c>
      <c r="H11" s="18">
        <f>H9/H10</f>
        <v>4976640</v>
      </c>
    </row>
    <row r="12" spans="1:13" x14ac:dyDescent="0.35">
      <c r="A12" s="1" t="s">
        <v>100</v>
      </c>
      <c r="C12" s="1" t="s">
        <v>99</v>
      </c>
      <c r="D12" s="1" t="s">
        <v>98</v>
      </c>
      <c r="E12" s="1">
        <v>66</v>
      </c>
    </row>
    <row r="13" spans="1:13" x14ac:dyDescent="0.35">
      <c r="A13" s="1" t="s">
        <v>97</v>
      </c>
      <c r="C13" s="1" t="s">
        <v>96</v>
      </c>
      <c r="D13" s="1" t="s">
        <v>95</v>
      </c>
      <c r="E13" s="1">
        <v>80</v>
      </c>
    </row>
    <row r="14" spans="1:13" x14ac:dyDescent="0.35">
      <c r="A14" s="1" t="s">
        <v>94</v>
      </c>
      <c r="J14" s="1" t="s">
        <v>93</v>
      </c>
    </row>
    <row r="15" spans="1:13" x14ac:dyDescent="0.35">
      <c r="A15" s="1" t="s">
        <v>92</v>
      </c>
      <c r="H15" s="1" t="s">
        <v>91</v>
      </c>
      <c r="I15" s="1">
        <f>E4</f>
        <v>19200</v>
      </c>
      <c r="J15" s="1">
        <v>48</v>
      </c>
      <c r="K15" s="2">
        <f>I15*J15</f>
        <v>921600</v>
      </c>
    </row>
    <row r="16" spans="1:13" x14ac:dyDescent="0.35">
      <c r="A16" s="1" t="s">
        <v>90</v>
      </c>
      <c r="H16" s="1" t="s">
        <v>89</v>
      </c>
      <c r="I16" s="1">
        <v>4800</v>
      </c>
      <c r="J16" s="1">
        <v>59</v>
      </c>
      <c r="K16" s="2">
        <f>I16*J16</f>
        <v>283200</v>
      </c>
    </row>
    <row r="17" spans="1:11" x14ac:dyDescent="0.35">
      <c r="A17" s="1" t="s">
        <v>88</v>
      </c>
      <c r="H17" s="1" t="s">
        <v>85</v>
      </c>
      <c r="I17" s="1">
        <v>800</v>
      </c>
      <c r="J17" s="1">
        <v>59</v>
      </c>
      <c r="K17" s="2">
        <f>I17*J17</f>
        <v>47200</v>
      </c>
    </row>
    <row r="18" spans="1:11" x14ac:dyDescent="0.35">
      <c r="A18" s="1" t="s">
        <v>87</v>
      </c>
      <c r="D18" s="1">
        <v>1.503E-2</v>
      </c>
      <c r="E18" s="1" t="s">
        <v>86</v>
      </c>
      <c r="H18" s="1" t="s">
        <v>85</v>
      </c>
      <c r="I18" s="1">
        <v>800</v>
      </c>
      <c r="J18" s="1">
        <v>59</v>
      </c>
      <c r="K18" s="2">
        <f>I18*J18</f>
        <v>47200</v>
      </c>
    </row>
    <row r="19" spans="1:11" x14ac:dyDescent="0.35">
      <c r="A19" s="1" t="s">
        <v>84</v>
      </c>
      <c r="H19" s="1" t="s">
        <v>83</v>
      </c>
      <c r="I19" s="1">
        <v>3.5</v>
      </c>
      <c r="J19" s="17" t="s">
        <v>82</v>
      </c>
      <c r="K19" s="16">
        <v>215500</v>
      </c>
    </row>
    <row r="20" spans="1:11" x14ac:dyDescent="0.35">
      <c r="K20" s="2">
        <f>SUM(K15:K19)</f>
        <v>1514700</v>
      </c>
    </row>
    <row r="22" spans="1:11" x14ac:dyDescent="0.35">
      <c r="K22" s="12"/>
    </row>
  </sheetData>
  <mergeCells count="1">
    <mergeCell ref="C8:D8"/>
  </mergeCells>
  <printOptions gridLines="1"/>
  <pageMargins left="0.75" right="0.75" top="1" bottom="1" header="0.5" footer="0.5"/>
  <pageSetup scale="68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0E9E5-17B9-4054-A2DD-40AF080CD807}">
  <dimension ref="A1:I14"/>
  <sheetViews>
    <sheetView workbookViewId="0">
      <selection activeCell="N3" sqref="N3"/>
    </sheetView>
  </sheetViews>
  <sheetFormatPr defaultRowHeight="14.5" x14ac:dyDescent="0.35"/>
  <cols>
    <col min="1" max="1" width="10.54296875" style="25" bestFit="1" customWidth="1"/>
    <col min="4" max="4" width="9.54296875" bestFit="1" customWidth="1"/>
    <col min="5" max="5" width="12" customWidth="1"/>
    <col min="6" max="6" width="11.54296875" style="24" bestFit="1" customWidth="1"/>
    <col min="9" max="9" width="11.54296875" bestFit="1" customWidth="1"/>
  </cols>
  <sheetData>
    <row r="1" spans="1:9" x14ac:dyDescent="0.35">
      <c r="A1" s="36" t="s">
        <v>141</v>
      </c>
      <c r="B1" s="36"/>
      <c r="C1" s="36"/>
      <c r="D1" s="36"/>
      <c r="E1" s="36"/>
      <c r="F1" s="27"/>
    </row>
    <row r="2" spans="1:9" x14ac:dyDescent="0.35">
      <c r="A2" s="35" t="s">
        <v>140</v>
      </c>
      <c r="B2" s="35"/>
      <c r="D2" s="35" t="s">
        <v>139</v>
      </c>
      <c r="E2" s="35"/>
    </row>
    <row r="3" spans="1:9" x14ac:dyDescent="0.35">
      <c r="A3" s="25">
        <v>10000</v>
      </c>
      <c r="B3" t="s">
        <v>138</v>
      </c>
      <c r="D3" s="25">
        <v>10000</v>
      </c>
      <c r="E3" t="s">
        <v>138</v>
      </c>
      <c r="I3" s="24"/>
    </row>
    <row r="4" spans="1:9" x14ac:dyDescent="0.35">
      <c r="A4" s="25">
        <v>49600</v>
      </c>
      <c r="B4" t="s">
        <v>71</v>
      </c>
      <c r="D4" s="25">
        <v>49600</v>
      </c>
      <c r="E4" t="s">
        <v>71</v>
      </c>
      <c r="I4" s="24"/>
    </row>
    <row r="5" spans="1:9" x14ac:dyDescent="0.35">
      <c r="A5" s="25">
        <v>165000</v>
      </c>
      <c r="B5" t="s">
        <v>66</v>
      </c>
      <c r="D5" s="25">
        <v>175000</v>
      </c>
      <c r="E5" t="s">
        <v>66</v>
      </c>
      <c r="I5" s="24"/>
    </row>
    <row r="6" spans="1:9" x14ac:dyDescent="0.35">
      <c r="A6" s="25">
        <f>A4+A5</f>
        <v>214600</v>
      </c>
      <c r="B6" t="s">
        <v>136</v>
      </c>
      <c r="D6" s="25">
        <f>D4+D5</f>
        <v>224600</v>
      </c>
      <c r="E6" t="s">
        <v>136</v>
      </c>
    </row>
    <row r="7" spans="1:9" x14ac:dyDescent="0.35">
      <c r="A7" s="25">
        <f>A6*A14</f>
        <v>3225.4380000000001</v>
      </c>
      <c r="B7" t="s">
        <v>117</v>
      </c>
      <c r="D7" s="26">
        <f>D6*A14</f>
        <v>3375.7379999999998</v>
      </c>
      <c r="E7" t="s">
        <v>117</v>
      </c>
    </row>
    <row r="10" spans="1:9" x14ac:dyDescent="0.35">
      <c r="A10" s="34" t="s">
        <v>137</v>
      </c>
      <c r="B10" s="34"/>
      <c r="C10" s="34"/>
      <c r="D10" s="34"/>
      <c r="E10" s="34"/>
    </row>
    <row r="11" spans="1:9" x14ac:dyDescent="0.35">
      <c r="A11" s="31">
        <f>(A6*2)+D6</f>
        <v>653800</v>
      </c>
      <c r="B11" t="s">
        <v>136</v>
      </c>
    </row>
    <row r="12" spans="1:9" x14ac:dyDescent="0.35">
      <c r="A12" s="30">
        <f>A11*A14</f>
        <v>9826.6139999999996</v>
      </c>
      <c r="B12" t="s">
        <v>135</v>
      </c>
    </row>
    <row r="14" spans="1:9" x14ac:dyDescent="0.35">
      <c r="A14">
        <v>1.503E-2</v>
      </c>
      <c r="B14" t="s">
        <v>86</v>
      </c>
    </row>
  </sheetData>
  <mergeCells count="4">
    <mergeCell ref="A10:E10"/>
    <mergeCell ref="A2:B2"/>
    <mergeCell ref="D2:E2"/>
    <mergeCell ref="A1:E1"/>
  </mergeCells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5B38-83C0-4A12-9B79-0857754C5DC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F61B366122CB40AD29D120F5B8B464" ma:contentTypeVersion="12" ma:contentTypeDescription="Create a new document." ma:contentTypeScope="" ma:versionID="7a30c1edc733dd5b17b9cfba80cd6415">
  <xsd:schema xmlns:xsd="http://www.w3.org/2001/XMLSchema" xmlns:xs="http://www.w3.org/2001/XMLSchema" xmlns:p="http://schemas.microsoft.com/office/2006/metadata/properties" xmlns:ns3="170db4d2-7df5-47eb-8924-adffa47ff2e0" xmlns:ns4="b550b4d5-5ea9-4de9-92d8-b93e999d9c19" targetNamespace="http://schemas.microsoft.com/office/2006/metadata/properties" ma:root="true" ma:fieldsID="00ba0e5001ab0d751a37cdb112fd7871" ns3:_="" ns4:_="">
    <xsd:import namespace="170db4d2-7df5-47eb-8924-adffa47ff2e0"/>
    <xsd:import namespace="b550b4d5-5ea9-4de9-92d8-b93e999d9c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db4d2-7df5-47eb-8924-adffa47ff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0b4d5-5ea9-4de9-92d8-b93e999d9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66D037-6921-46C0-9802-D1462BE45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6018D8-4542-4A79-A276-BDCB91800D23}">
  <ds:schemaRefs>
    <ds:schemaRef ds:uri="http://schemas.microsoft.com/office/2006/metadata/properties"/>
    <ds:schemaRef ds:uri="http://purl.org/dc/elements/1.1/"/>
    <ds:schemaRef ds:uri="b550b4d5-5ea9-4de9-92d8-b93e999d9c19"/>
    <ds:schemaRef ds:uri="170db4d2-7df5-47eb-8924-adffa47ff2e0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1506BD-5936-4F9D-88D8-9ECD5C144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db4d2-7df5-47eb-8924-adffa47ff2e0"/>
    <ds:schemaRef ds:uri="b550b4d5-5ea9-4de9-92d8-b93e999d9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Millville apartments</vt:lpstr>
      <vt:lpstr>Cranesport</vt:lpstr>
      <vt:lpstr>Habitat For Humantity</vt:lpstr>
      <vt:lpstr>Sheet1</vt:lpstr>
      <vt:lpstr>Cranesport!Print_Area</vt:lpstr>
      <vt:lpstr>'Habitat For Humantity'!Print_Area</vt:lpstr>
      <vt:lpstr>'Millville apartments'!Print_Area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Leichtman</dc:creator>
  <cp:lastModifiedBy>Audra Caler-Bell</cp:lastModifiedBy>
  <dcterms:created xsi:type="dcterms:W3CDTF">2021-01-07T20:39:36Z</dcterms:created>
  <dcterms:modified xsi:type="dcterms:W3CDTF">2021-01-20T18:27:18Z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0x010100FCF61B366122CB40AD29D120F5B8B464</vt:lpwstr>
  </property>
</Properties>
</file>